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Universal Screening" sheetId="2" state="visible" r:id="rId4"/>
    <sheet name="Risk-Based Screening" sheetId="3" state="visible" r:id="rId5"/>
    <sheet name="No Screening" sheetId="4" state="visible" r:id="rId6"/>
    <sheet name="Result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<sst xmlns="http://schemas.openxmlformats.org/spreadsheetml/2006/main" count="174" uniqueCount="141">
  <si>
    <t xml:space="preserve">GDM Screening Decision Tree - Model Parameters</t>
  </si>
  <si>
    <t xml:space="preserve">Parameter</t>
  </si>
  <si>
    <t xml:space="preserve">Value</t>
  </si>
  <si>
    <t xml:space="preserve">Description</t>
  </si>
  <si>
    <t xml:space="preserve">prev_gdm</t>
  </si>
  <si>
    <t xml:space="preserve">Overall GDM prevalence</t>
  </si>
  <si>
    <t xml:space="preserve">n_cohort</t>
  </si>
  <si>
    <t xml:space="preserve">Total cohort size</t>
  </si>
  <si>
    <t xml:space="preserve">sens_ogtt</t>
  </si>
  <si>
    <t xml:space="preserve">OGTT sensitivity</t>
  </si>
  <si>
    <t xml:space="preserve">spec_ogtt</t>
  </si>
  <si>
    <t xml:space="preserve">OGTT specificity</t>
  </si>
  <si>
    <t xml:space="preserve">cost_ogtt</t>
  </si>
  <si>
    <t xml:space="preserve">Cost of OGTT test</t>
  </si>
  <si>
    <t xml:space="preserve">cost_risk_assessment</t>
  </si>
  <si>
    <t xml:space="preserve">Cost of risk assessment</t>
  </si>
  <si>
    <t xml:space="preserve">cost_gdm_treatment</t>
  </si>
  <si>
    <t xml:space="preserve">Cost of GDM treatment</t>
  </si>
  <si>
    <t xml:space="preserve">p_adverse_gdm_treated</t>
  </si>
  <si>
    <t xml:space="preserve">Probability adverse outcome (GDM treated)</t>
  </si>
  <si>
    <t xml:space="preserve">p_adverse_gdm_untreated</t>
  </si>
  <si>
    <t xml:space="preserve">Probability adverse outcome (GDM untreated)</t>
  </si>
  <si>
    <t xml:space="preserve">p_adverse_no_gdm</t>
  </si>
  <si>
    <t xml:space="preserve">Probability adverse outcome (no GDM)</t>
  </si>
  <si>
    <t xml:space="preserve">cost_adverse</t>
  </si>
  <si>
    <t xml:space="preserve">Cost of adverse outcome</t>
  </si>
  <si>
    <t xml:space="preserve">cost_no_adverse</t>
  </si>
  <si>
    <t xml:space="preserve">Cost of no adverse outcome</t>
  </si>
  <si>
    <t xml:space="preserve">utility_adverse</t>
  </si>
  <si>
    <t xml:space="preserve">Utility with adverse outcome</t>
  </si>
  <si>
    <t xml:space="preserve">utility_no_adverse</t>
  </si>
  <si>
    <t xml:space="preserve">Utility with no adverse outcome</t>
  </si>
  <si>
    <t xml:space="preserve">utility_gdm_treated</t>
  </si>
  <si>
    <t xml:space="preserve">Utility with treated GDM</t>
  </si>
  <si>
    <t xml:space="preserve">prop_high_risk</t>
  </si>
  <si>
    <t xml:space="preserve">Proportion high-risk</t>
  </si>
  <si>
    <t xml:space="preserve">prev_gdm_high_risk</t>
  </si>
  <si>
    <t xml:space="preserve">GDM prevalence in high-risk</t>
  </si>
  <si>
    <t xml:space="preserve">prev_gdm_low_risk</t>
  </si>
  <si>
    <t xml:space="preserve">GDM prevalence in low-risk</t>
  </si>
  <si>
    <t xml:space="preserve">detection_rate_clinical</t>
  </si>
  <si>
    <t xml:space="preserve">Clinical detection rate</t>
  </si>
  <si>
    <t xml:space="preserve">WTP</t>
  </si>
  <si>
    <t xml:space="preserve">Willingness-to-pay threshold</t>
  </si>
  <si>
    <t xml:space="preserve">Strategy 1: Universal OGTT Screening</t>
  </si>
  <si>
    <t xml:space="preserve">PATHWAY COUNTS</t>
  </si>
  <si>
    <t xml:space="preserve">Pathway Description</t>
  </si>
  <si>
    <t xml:space="preserve">Count</t>
  </si>
  <si>
    <t xml:space="preserve">Proportion</t>
  </si>
  <si>
    <t xml:space="preserve">Formula</t>
  </si>
  <si>
    <t xml:space="preserve">Total Cohort</t>
  </si>
  <si>
    <t xml:space="preserve">Actually have GDM</t>
  </si>
  <si>
    <t xml:space="preserve">Actually no GDM</t>
  </si>
  <si>
    <t xml:space="preserve">Test Positive (TP)</t>
  </si>
  <si>
    <t xml:space="preserve">Test Negative but have GDM (FN)</t>
  </si>
  <si>
    <t xml:space="preserve">Test Negative and no GDM (TN)</t>
  </si>
  <si>
    <t xml:space="preserve">Test Positive but no GDM (FP)</t>
  </si>
  <si>
    <t xml:space="preserve">COSTS</t>
  </si>
  <si>
    <t xml:space="preserve">Cost Item</t>
  </si>
  <si>
    <t xml:space="preserve">Total Cost</t>
  </si>
  <si>
    <t xml:space="preserve">OGTT Testing (all)</t>
  </si>
  <si>
    <t xml:space="preserve">GDM Treatment (TP)</t>
  </si>
  <si>
    <t xml:space="preserve">Adverse (TP treated)</t>
  </si>
  <si>
    <t xml:space="preserve">No Adverse (TP treated)</t>
  </si>
  <si>
    <t xml:space="preserve">Adverse (FN untreated)</t>
  </si>
  <si>
    <t xml:space="preserve">No Adverse (FN untreated)</t>
  </si>
  <si>
    <t xml:space="preserve">Adverse (TN)</t>
  </si>
  <si>
    <t xml:space="preserve">No Adverse (TN)</t>
  </si>
  <si>
    <t xml:space="preserve">Adverse (FP)</t>
  </si>
  <si>
    <t xml:space="preserve">No Adverse (FP)</t>
  </si>
  <si>
    <t xml:space="preserve">TOTAL COST</t>
  </si>
  <si>
    <t xml:space="preserve">QUALITY-ADJUSTED LIFE YEARS (QALYs)</t>
  </si>
  <si>
    <t xml:space="preserve">Category</t>
  </si>
  <si>
    <t xml:space="preserve">QALYs</t>
  </si>
  <si>
    <t xml:space="preserve">TP Treated GDM</t>
  </si>
  <si>
    <t xml:space="preserve">FN Untreated GDM</t>
  </si>
  <si>
    <t xml:space="preserve">TN + FP No GDM</t>
  </si>
  <si>
    <t xml:space="preserve">TOTAL QALYs</t>
  </si>
  <si>
    <t xml:space="preserve">Strategy 2: Risk-Based Screening</t>
  </si>
  <si>
    <t xml:space="preserve">High-Risk Group</t>
  </si>
  <si>
    <t xml:space="preserve">Low-Risk Group</t>
  </si>
  <si>
    <t xml:space="preserve">GDM in High-Risk (tested)</t>
  </si>
  <si>
    <t xml:space="preserve">GDM in High-Risk (missed)</t>
  </si>
  <si>
    <t xml:space="preserve">No GDM in High-Risk (tested positive)</t>
  </si>
  <si>
    <t xml:space="preserve">No GDM in High-Risk (tested negative)</t>
  </si>
  <si>
    <t xml:space="preserve">GDM in Low-Risk (clinical detection)</t>
  </si>
  <si>
    <t xml:space="preserve">GDM in Low-Risk (missed)</t>
  </si>
  <si>
    <t xml:space="preserve">No GDM in Low-Risk</t>
  </si>
  <si>
    <t xml:space="preserve">Risk Assessment (all)</t>
  </si>
  <si>
    <t xml:space="preserve">OGTT (high-risk)</t>
  </si>
  <si>
    <t xml:space="preserve">GDM Treatment (high-risk detected)</t>
  </si>
  <si>
    <t xml:space="preserve">Adverse (high-risk GDM treated)</t>
  </si>
  <si>
    <t xml:space="preserve">No Adverse (high-risk GDM treated)</t>
  </si>
  <si>
    <t xml:space="preserve">Adverse (high-risk GDM missed)</t>
  </si>
  <si>
    <t xml:space="preserve">No Adverse (high-risk GDM missed)</t>
  </si>
  <si>
    <t xml:space="preserve">Adverse (high-risk no GDM)</t>
  </si>
  <si>
    <t xml:space="preserve">No Adverse (high-risk no GDM)</t>
  </si>
  <si>
    <t xml:space="preserve">GDM Treatment (low-risk detected)</t>
  </si>
  <si>
    <t xml:space="preserve">Adverse (low-risk GDM detected)</t>
  </si>
  <si>
    <t xml:space="preserve">No Adverse (low-risk GDM detected)</t>
  </si>
  <si>
    <t xml:space="preserve">Adverse (low-risk GDM missed)</t>
  </si>
  <si>
    <t xml:space="preserve">No Adverse (low-risk GDM missed)</t>
  </si>
  <si>
    <t xml:space="preserve">Adverse (low-risk no GDM)</t>
  </si>
  <si>
    <t xml:space="preserve">No Adverse (low-risk no GDM)</t>
  </si>
  <si>
    <t xml:space="preserve">High-risk GDM Detected</t>
  </si>
  <si>
    <t xml:space="preserve">High-risk GDM Missed</t>
  </si>
  <si>
    <t xml:space="preserve">High-risk No GDM</t>
  </si>
  <si>
    <t xml:space="preserve">Low-risk GDM Detected</t>
  </si>
  <si>
    <t xml:space="preserve">Low-risk GDM Missed</t>
  </si>
  <si>
    <t xml:space="preserve">Low-risk No GDM</t>
  </si>
  <si>
    <t xml:space="preserve">Strategy 3: No Screening (Control)</t>
  </si>
  <si>
    <t xml:space="preserve">Have GDM (undetected)</t>
  </si>
  <si>
    <t xml:space="preserve">No GDM</t>
  </si>
  <si>
    <t xml:space="preserve">Adverse (GDM untreated)</t>
  </si>
  <si>
    <t xml:space="preserve">No Adverse (GDM untreated)</t>
  </si>
  <si>
    <t xml:space="preserve">Adverse (No GDM)</t>
  </si>
  <si>
    <t xml:space="preserve">No Adverse (No GDM)</t>
  </si>
  <si>
    <t xml:space="preserve">GDM Untreated</t>
  </si>
  <si>
    <t xml:space="preserve">GDM Screening Decision Tree - Health Economic Analysis</t>
  </si>
  <si>
    <t xml:space="preserve">STRATEGY COMPARISON</t>
  </si>
  <si>
    <t xml:space="preserve">Strategy</t>
  </si>
  <si>
    <t xml:space="preserve">Total Cost (₹)</t>
  </si>
  <si>
    <t xml:space="preserve">Total QALYs</t>
  </si>
  <si>
    <t xml:space="preserve">Cost per QALY</t>
  </si>
  <si>
    <t xml:space="preserve">Universal Screening</t>
  </si>
  <si>
    <t xml:space="preserve">Risk-Based Screening</t>
  </si>
  <si>
    <t xml:space="preserve">No Screening</t>
  </si>
  <si>
    <t xml:space="preserve">INCREMENTAL COST-EFFECTIVENESS ANALYSIS (ICEA)</t>
  </si>
  <si>
    <t xml:space="preserve">Comparison</t>
  </si>
  <si>
    <t xml:space="preserve">Cost Diff (₹)</t>
  </si>
  <si>
    <t xml:space="preserve">QALY Diff</t>
  </si>
  <si>
    <t xml:space="preserve">ICER (₹/QALY)</t>
  </si>
  <si>
    <t xml:space="preserve">Cost-Effective?</t>
  </si>
  <si>
    <t xml:space="preserve">Risk-Based vs No Screening</t>
  </si>
  <si>
    <t xml:space="preserve">Universal vs No Screening</t>
  </si>
  <si>
    <t xml:space="preserve">Universal vs Risk-Based</t>
  </si>
  <si>
    <t xml:space="preserve">NET MONETARY BENEFIT (NMB) at WTP = ₹{Parameters!B33}</t>
  </si>
  <si>
    <t xml:space="preserve">NMB (₹)</t>
  </si>
  <si>
    <t xml:space="preserve">(QALY × WTP) - Cost</t>
  </si>
  <si>
    <t xml:space="preserve">Preferred Strategy:</t>
  </si>
  <si>
    <t xml:space="preserve">RECOMMENDATION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</si>
</sst>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0"/>
    <numFmt numFmtId="166" formatCode="#,##0"/>
    <numFmt numFmtId="167" formatCode="0.0%"/>
    <numFmt numFmtId="168" formatCode="\₹#,##0"/>
    <numFmt numFmtId="169" formatCode="#,##0.00"/>
    <numFmt numFmtId="170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52CC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rgb="FFE8F0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0F8"/>
      <rgbColor rgb="FF660066"/>
      <rgbColor rgb="FFFF8080"/>
      <rgbColor rgb="FF0052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20"/>
    <col collapsed="false" customWidth="true" hidden="false" outlineLevel="0" max="3" min="3" style="1" width="35"/>
  </cols>
  <sheetData>
    <row r="1" customFormat="false" ht="1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 t="s">
        <v>2</v>
      </c>
      <c r="C3" s="3" t="s">
        <v>3</v>
      </c>
    </row>
    <row r="4" customFormat="false" ht="15" hidden="false" customHeight="true" outlineLevel="0" collapsed="false">
      <c r="A4" s="4" t="s">
        <v>4</v>
      </c>
      <c r="B4" s="5" t="n">
        <v>0.12</v>
      </c>
      <c r="C4" s="4" t="s">
        <v>5</v>
      </c>
    </row>
    <row r="5" customFormat="false" ht="15" hidden="false" customHeight="true" outlineLevel="0" collapsed="false">
      <c r="A5" s="4" t="s">
        <v>6</v>
      </c>
      <c r="B5" s="6" t="n">
        <v>10000</v>
      </c>
      <c r="C5" s="4" t="s">
        <v>7</v>
      </c>
    </row>
    <row r="6" customFormat="false" ht="15" hidden="false" customHeight="true" outlineLevel="0" collapsed="false">
      <c r="A6" s="4" t="s">
        <v>8</v>
      </c>
      <c r="B6" s="5" t="n">
        <v>0.9</v>
      </c>
      <c r="C6" s="4" t="s">
        <v>9</v>
      </c>
    </row>
    <row r="7" customFormat="false" ht="15" hidden="false" customHeight="true" outlineLevel="0" collapsed="false">
      <c r="A7" s="4" t="s">
        <v>10</v>
      </c>
      <c r="B7" s="5" t="n">
        <v>0.85</v>
      </c>
      <c r="C7" s="4" t="s">
        <v>11</v>
      </c>
    </row>
    <row r="8" customFormat="false" ht="15" hidden="false" customHeight="true" outlineLevel="0" collapsed="false">
      <c r="A8" s="4" t="s">
        <v>12</v>
      </c>
      <c r="B8" s="6" t="n">
        <v>250</v>
      </c>
      <c r="C8" s="4" t="s">
        <v>13</v>
      </c>
    </row>
    <row r="9" customFormat="false" ht="15" hidden="false" customHeight="true" outlineLevel="0" collapsed="false">
      <c r="A9" s="4" t="s">
        <v>14</v>
      </c>
      <c r="B9" s="6" t="n">
        <v>50</v>
      </c>
      <c r="C9" s="4" t="s">
        <v>15</v>
      </c>
    </row>
    <row r="10" customFormat="false" ht="15" hidden="false" customHeight="true" outlineLevel="0" collapsed="false">
      <c r="A10" s="4" t="s">
        <v>16</v>
      </c>
      <c r="B10" s="6" t="n">
        <v>8000</v>
      </c>
      <c r="C10" s="4" t="s">
        <v>17</v>
      </c>
    </row>
    <row r="11" customFormat="false" ht="15" hidden="false" customHeight="true" outlineLevel="0" collapsed="false">
      <c r="A11" s="4" t="s">
        <v>18</v>
      </c>
      <c r="B11" s="5" t="n">
        <v>0.1</v>
      </c>
      <c r="C11" s="4" t="s">
        <v>19</v>
      </c>
    </row>
    <row r="12" customFormat="false" ht="15" hidden="false" customHeight="true" outlineLevel="0" collapsed="false">
      <c r="A12" s="4" t="s">
        <v>20</v>
      </c>
      <c r="B12" s="5" t="n">
        <v>0.35</v>
      </c>
      <c r="C12" s="4" t="s">
        <v>21</v>
      </c>
    </row>
    <row r="13" customFormat="false" ht="15" hidden="false" customHeight="true" outlineLevel="0" collapsed="false">
      <c r="A13" s="4" t="s">
        <v>22</v>
      </c>
      <c r="B13" s="5" t="n">
        <v>0.05</v>
      </c>
      <c r="C13" s="4" t="s">
        <v>23</v>
      </c>
    </row>
    <row r="14" customFormat="false" ht="15" hidden="false" customHeight="true" outlineLevel="0" collapsed="false">
      <c r="A14" s="4" t="s">
        <v>24</v>
      </c>
      <c r="B14" s="6" t="n">
        <v>45000</v>
      </c>
      <c r="C14" s="4" t="s">
        <v>25</v>
      </c>
    </row>
    <row r="15" customFormat="false" ht="15" hidden="false" customHeight="true" outlineLevel="0" collapsed="false">
      <c r="A15" s="4" t="s">
        <v>26</v>
      </c>
      <c r="B15" s="6" t="n">
        <v>5000</v>
      </c>
      <c r="C15" s="4" t="s">
        <v>27</v>
      </c>
    </row>
    <row r="16" customFormat="false" ht="15" hidden="false" customHeight="true" outlineLevel="0" collapsed="false">
      <c r="A16" s="4" t="s">
        <v>28</v>
      </c>
      <c r="B16" s="5" t="n">
        <v>0.65</v>
      </c>
      <c r="C16" s="4" t="s">
        <v>29</v>
      </c>
    </row>
    <row r="17" customFormat="false" ht="15" hidden="false" customHeight="true" outlineLevel="0" collapsed="false">
      <c r="A17" s="4" t="s">
        <v>30</v>
      </c>
      <c r="B17" s="5" t="n">
        <v>0.9</v>
      </c>
      <c r="C17" s="4" t="s">
        <v>31</v>
      </c>
    </row>
    <row r="18" customFormat="false" ht="15" hidden="false" customHeight="true" outlineLevel="0" collapsed="false">
      <c r="A18" s="4" t="s">
        <v>32</v>
      </c>
      <c r="B18" s="5" t="n">
        <v>0.82</v>
      </c>
      <c r="C18" s="4" t="s">
        <v>33</v>
      </c>
    </row>
    <row r="19" customFormat="false" ht="15" hidden="false" customHeight="true" outlineLevel="0" collapsed="false">
      <c r="A19" s="4" t="s">
        <v>34</v>
      </c>
      <c r="B19" s="5" t="n">
        <v>0.6</v>
      </c>
      <c r="C19" s="4" t="s">
        <v>35</v>
      </c>
    </row>
    <row r="20" customFormat="false" ht="15" hidden="false" customHeight="true" outlineLevel="0" collapsed="false">
      <c r="A20" s="4" t="s">
        <v>36</v>
      </c>
      <c r="B20" s="5" t="n">
        <v>0.18</v>
      </c>
      <c r="C20" s="4" t="s">
        <v>37</v>
      </c>
    </row>
    <row r="21" customFormat="false" ht="15" hidden="false" customHeight="true" outlineLevel="0" collapsed="false">
      <c r="A21" s="4" t="s">
        <v>38</v>
      </c>
      <c r="B21" s="5" t="n">
        <v>0.03</v>
      </c>
      <c r="C21" s="4" t="s">
        <v>39</v>
      </c>
    </row>
    <row r="22" customFormat="false" ht="15" hidden="false" customHeight="true" outlineLevel="0" collapsed="false">
      <c r="A22" s="4" t="s">
        <v>40</v>
      </c>
      <c r="B22" s="5" t="n">
        <v>0.25</v>
      </c>
      <c r="C22" s="4" t="s">
        <v>41</v>
      </c>
    </row>
    <row r="23" customFormat="false" ht="15" hidden="false" customHeight="true" outlineLevel="0" collapsed="false">
      <c r="A23" s="4" t="s">
        <v>42</v>
      </c>
      <c r="B23" s="6" t="n">
        <v>170000</v>
      </c>
      <c r="C23" s="4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18"/>
  </cols>
  <sheetData>
    <row r="1" customFormat="false" ht="15" hidden="false" customHeight="true" outlineLevel="0" collapsed="false">
      <c r="A1" s="2" t="s">
        <v>44</v>
      </c>
    </row>
    <row r="3" customFormat="false" ht="15" hidden="false" customHeight="true" outlineLevel="0" collapsed="false">
      <c r="A3" s="7" t="s">
        <v>45</v>
      </c>
    </row>
    <row r="4" customFormat="false" ht="15" hidden="false" customHeight="true" outlineLevel="0" collapsed="false">
      <c r="A4" s="3" t="s">
        <v>46</v>
      </c>
      <c r="B4" s="3" t="s">
        <v>47</v>
      </c>
      <c r="C4" s="3" t="s">
        <v>48</v>
      </c>
      <c r="D4" s="3" t="s">
        <v>49</v>
      </c>
    </row>
    <row r="5" customFormat="false" ht="15" hidden="false" customHeight="true" outlineLevel="0" collapsed="false">
      <c r="A5" s="4" t="s">
        <v>50</v>
      </c>
      <c r="B5" s="8" t="n">
        <f aca="false">Parameters!B5</f>
        <v>10000</v>
      </c>
      <c r="C5" s="9" t="n">
        <f aca="false">B5/Parameters!B5</f>
        <v>1</v>
      </c>
      <c r="D5" s="10" t="n">
        <f aca="false">Parameters!B5</f>
        <v>10000</v>
      </c>
    </row>
    <row r="6" customFormat="false" ht="15" hidden="false" customHeight="true" outlineLevel="0" collapsed="false">
      <c r="A6" s="4" t="s">
        <v>51</v>
      </c>
      <c r="B6" s="8" t="n">
        <f aca="false">Parameters!B5*Parameters!B4</f>
        <v>1200</v>
      </c>
      <c r="C6" s="9" t="n">
        <f aca="false">B6/Parameters!B5</f>
        <v>0.12</v>
      </c>
      <c r="D6" s="4" t="n">
        <f aca="false">Parameters!B5*Parameters!B4</f>
        <v>1200</v>
      </c>
    </row>
    <row r="7" customFormat="false" ht="15" hidden="false" customHeight="true" outlineLevel="0" collapsed="false">
      <c r="A7" s="4" t="s">
        <v>52</v>
      </c>
      <c r="B7" s="8" t="n">
        <f aca="false">Parameters!B5*(1-Parameters!B4)</f>
        <v>8800</v>
      </c>
      <c r="C7" s="9" t="n">
        <f aca="false">B7/Parameters!B5</f>
        <v>0.88</v>
      </c>
      <c r="D7" s="4" t="n">
        <f aca="false">Parameters!B5*(1-Parameters!B4)</f>
        <v>8800</v>
      </c>
    </row>
    <row r="8" customFormat="false" ht="15" hidden="false" customHeight="true" outlineLevel="0" collapsed="false">
      <c r="A8" s="4" t="s">
        <v>53</v>
      </c>
      <c r="B8" s="8" t="n">
        <f aca="false">B6*Parameters!B6</f>
        <v>1080</v>
      </c>
      <c r="C8" s="9" t="n">
        <f aca="false">B8/Parameters!B5</f>
        <v>0.108</v>
      </c>
      <c r="D8" s="4" t="n">
        <f aca="false">B6*Parameters!B7</f>
        <v>1020</v>
      </c>
    </row>
    <row r="9" customFormat="false" ht="15" hidden="false" customHeight="true" outlineLevel="0" collapsed="false">
      <c r="A9" s="4" t="s">
        <v>54</v>
      </c>
      <c r="B9" s="8" t="n">
        <f aca="false">B6*(1-Parameters!B6)</f>
        <v>120</v>
      </c>
      <c r="C9" s="9" t="n">
        <f aca="false">B9/Parameters!B5</f>
        <v>0.012</v>
      </c>
      <c r="D9" s="4" t="n">
        <f aca="false">B6*(1-Parameters!B7)</f>
        <v>180</v>
      </c>
    </row>
    <row r="10" customFormat="false" ht="15" hidden="false" customHeight="true" outlineLevel="0" collapsed="false">
      <c r="A10" s="4" t="s">
        <v>55</v>
      </c>
      <c r="B10" s="8" t="n">
        <f aca="false">B7*Parameters!B7</f>
        <v>7480</v>
      </c>
      <c r="C10" s="9" t="n">
        <f aca="false">B10/Parameters!B5</f>
        <v>0.748</v>
      </c>
      <c r="D10" s="4" t="n">
        <f aca="false">B7*Parameters!B8</f>
        <v>2200000</v>
      </c>
    </row>
    <row r="11" customFormat="false" ht="15" hidden="false" customHeight="true" outlineLevel="0" collapsed="false">
      <c r="A11" s="4" t="s">
        <v>56</v>
      </c>
      <c r="B11" s="8" t="n">
        <f aca="false">B7*(1-Parameters!B7)</f>
        <v>1320</v>
      </c>
      <c r="C11" s="9" t="n">
        <f aca="false">B11/Parameters!B5</f>
        <v>0.132</v>
      </c>
      <c r="D11" s="4" t="n">
        <f aca="false">B7*(1-Parameters!B8)</f>
        <v>-2191200</v>
      </c>
    </row>
    <row r="14" customFormat="false" ht="15" hidden="false" customHeight="true" outlineLevel="0" collapsed="false">
      <c r="A14" s="7" t="s">
        <v>57</v>
      </c>
    </row>
    <row r="15" customFormat="false" ht="15" hidden="false" customHeight="true" outlineLevel="0" collapsed="false">
      <c r="A15" s="11" t="s">
        <v>58</v>
      </c>
      <c r="B15" s="11" t="s">
        <v>59</v>
      </c>
      <c r="C15" s="11"/>
      <c r="D15" s="11"/>
    </row>
    <row r="16" customFormat="false" ht="15" hidden="false" customHeight="true" outlineLevel="0" collapsed="false">
      <c r="A16" s="4" t="s">
        <v>60</v>
      </c>
      <c r="B16" s="12" t="n">
        <f aca="false">Parameters!B5*Parameters!B8</f>
        <v>2500000</v>
      </c>
      <c r="C16" s="8"/>
      <c r="D16" s="12"/>
    </row>
    <row r="17" customFormat="false" ht="15" hidden="false" customHeight="true" outlineLevel="0" collapsed="false">
      <c r="A17" s="4" t="s">
        <v>61</v>
      </c>
      <c r="B17" s="12" t="n">
        <f aca="false">B8*Parameters!B10</f>
        <v>8640000</v>
      </c>
      <c r="C17" s="8"/>
      <c r="D17" s="12"/>
    </row>
    <row r="18" customFormat="false" ht="15" hidden="false" customHeight="true" outlineLevel="0" collapsed="false">
      <c r="A18" s="4" t="s">
        <v>62</v>
      </c>
      <c r="B18" s="12" t="n">
        <f aca="false">B8*Parameters!B11*Parameters!B14</f>
        <v>4860000</v>
      </c>
      <c r="C18" s="8"/>
      <c r="D18" s="12"/>
    </row>
    <row r="19" customFormat="false" ht="15" hidden="false" customHeight="true" outlineLevel="0" collapsed="false">
      <c r="A19" s="4" t="s">
        <v>63</v>
      </c>
      <c r="B19" s="12" t="n">
        <f aca="false">B8*(1-Parameters!B11)*Parameters!B15</f>
        <v>4860000</v>
      </c>
      <c r="C19" s="8"/>
      <c r="D19" s="12"/>
    </row>
    <row r="20" customFormat="false" ht="15" hidden="false" customHeight="true" outlineLevel="0" collapsed="false">
      <c r="A20" s="4" t="s">
        <v>64</v>
      </c>
      <c r="B20" s="12" t="n">
        <f aca="false">B9*Parameters!B12*Parameters!B14</f>
        <v>1890000</v>
      </c>
      <c r="C20" s="8"/>
      <c r="D20" s="12"/>
    </row>
    <row r="21" customFormat="false" ht="15" hidden="false" customHeight="true" outlineLevel="0" collapsed="false">
      <c r="A21" s="4" t="s">
        <v>65</v>
      </c>
      <c r="B21" s="12" t="n">
        <f aca="false">B9*(1-Parameters!B12)*Parameters!B15</f>
        <v>390000</v>
      </c>
      <c r="C21" s="8"/>
      <c r="D21" s="12"/>
    </row>
    <row r="22" customFormat="false" ht="15" hidden="false" customHeight="true" outlineLevel="0" collapsed="false">
      <c r="A22" s="4" t="s">
        <v>66</v>
      </c>
      <c r="B22" s="12" t="n">
        <f aca="false">B10*Parameters!B13*Parameters!B14</f>
        <v>16830000</v>
      </c>
      <c r="C22" s="8"/>
      <c r="D22" s="12"/>
    </row>
    <row r="23" customFormat="false" ht="15" hidden="false" customHeight="true" outlineLevel="0" collapsed="false">
      <c r="A23" s="4" t="s">
        <v>67</v>
      </c>
      <c r="B23" s="12" t="n">
        <f aca="false">B10*(1-Parameters!B13)*Parameters!B15</f>
        <v>35530000</v>
      </c>
      <c r="C23" s="8"/>
      <c r="D23" s="12"/>
    </row>
    <row r="24" customFormat="false" ht="15" hidden="false" customHeight="true" outlineLevel="0" collapsed="false">
      <c r="A24" s="4" t="s">
        <v>68</v>
      </c>
      <c r="B24" s="12" t="n">
        <f aca="false">B11*Parameters!B13*Parameters!B14</f>
        <v>2970000</v>
      </c>
      <c r="C24" s="8"/>
      <c r="D24" s="12"/>
    </row>
    <row r="25" customFormat="false" ht="15" hidden="false" customHeight="true" outlineLevel="0" collapsed="false">
      <c r="A25" s="4" t="s">
        <v>69</v>
      </c>
      <c r="B25" s="12" t="n">
        <f aca="false">B11*(1-Parameters!B13)*Parameters!B15</f>
        <v>6270000</v>
      </c>
      <c r="C25" s="8"/>
      <c r="D25" s="12"/>
    </row>
    <row r="26" customFormat="false" ht="15" hidden="false" customHeight="true" outlineLevel="0" collapsed="false">
      <c r="A26" s="13" t="s">
        <v>70</v>
      </c>
      <c r="B26" s="14" t="n">
        <f aca="false">SUM(B16:B25)</f>
        <v>84740000</v>
      </c>
      <c r="C26" s="14"/>
      <c r="D26" s="14"/>
    </row>
    <row r="29" customFormat="false" ht="15" hidden="false" customHeight="true" outlineLevel="0" collapsed="false">
      <c r="A29" s="7" t="s">
        <v>71</v>
      </c>
    </row>
    <row r="30" customFormat="false" ht="15" hidden="false" customHeight="true" outlineLevel="0" collapsed="false">
      <c r="A30" s="11" t="s">
        <v>72</v>
      </c>
      <c r="B30" s="11" t="s">
        <v>73</v>
      </c>
      <c r="C30" s="11"/>
      <c r="D30" s="11"/>
    </row>
    <row r="31" customFormat="false" ht="15" hidden="false" customHeight="true" outlineLevel="0" collapsed="false">
      <c r="A31" s="4" t="s">
        <v>74</v>
      </c>
      <c r="B31" s="15" t="n">
        <f aca="false">B8*Parameters!B18</f>
        <v>885.6</v>
      </c>
      <c r="C31" s="15"/>
      <c r="D31" s="15"/>
    </row>
    <row r="32" customFormat="false" ht="15" hidden="false" customHeight="true" outlineLevel="0" collapsed="false">
      <c r="A32" s="4" t="s">
        <v>75</v>
      </c>
      <c r="B32" s="15" t="n">
        <f aca="false">B9*Parameters!B16</f>
        <v>78</v>
      </c>
      <c r="C32" s="15"/>
      <c r="D32" s="15"/>
    </row>
    <row r="33" customFormat="false" ht="15" hidden="false" customHeight="true" outlineLevel="0" collapsed="false">
      <c r="A33" s="4" t="s">
        <v>76</v>
      </c>
      <c r="B33" s="15" t="n">
        <f aca="false">(B10+B11)*Parameters!B17</f>
        <v>7920</v>
      </c>
      <c r="C33" s="15"/>
      <c r="D33" s="15"/>
    </row>
    <row r="34" customFormat="false" ht="15" hidden="false" customHeight="true" outlineLevel="0" collapsed="false">
      <c r="A34" s="13" t="s">
        <v>77</v>
      </c>
      <c r="B34" s="16" t="n">
        <f aca="false">SUM(B31:B33)</f>
        <v>8883.6</v>
      </c>
      <c r="C34" s="17"/>
      <c r="D34" s="16"/>
    </row>
    <row r="35" customFormat="false" ht="15" hidden="false" customHeight="true" outlineLevel="0" collapsed="false">
      <c r="A35" s="13"/>
      <c r="B35" s="4"/>
      <c r="C35" s="4"/>
      <c r="D35" s="1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3" min="2" style="1" width="18"/>
  </cols>
  <sheetData>
    <row r="1" customFormat="false" ht="15" hidden="false" customHeight="true" outlineLevel="0" collapsed="false">
      <c r="A1" s="2" t="s">
        <v>78</v>
      </c>
    </row>
    <row r="2" customFormat="false" ht="15" hidden="false" customHeight="false" outlineLevel="0" collapsed="false"/>
    <row r="3" customFormat="false" ht="15" hidden="false" customHeight="true" outlineLevel="0" collapsed="false">
      <c r="A3" s="7" t="s">
        <v>45</v>
      </c>
    </row>
    <row r="4" customFormat="false" ht="15" hidden="false" customHeight="true" outlineLevel="0" collapsed="false">
      <c r="A4" s="3" t="s">
        <v>46</v>
      </c>
      <c r="B4" s="3" t="s">
        <v>47</v>
      </c>
      <c r="C4" s="3"/>
    </row>
    <row r="5" customFormat="false" ht="15" hidden="false" customHeight="true" outlineLevel="0" collapsed="false">
      <c r="A5" s="4" t="s">
        <v>50</v>
      </c>
      <c r="B5" s="8" t="n">
        <f aca="false">Parameters!B5</f>
        <v>10000</v>
      </c>
      <c r="C5" s="9"/>
    </row>
    <row r="6" customFormat="false" ht="15" hidden="false" customHeight="true" outlineLevel="0" collapsed="false">
      <c r="A6" s="4" t="s">
        <v>79</v>
      </c>
      <c r="B6" s="8" t="n">
        <f aca="false">Parameters!B5*Parameters!B27</f>
        <v>0</v>
      </c>
      <c r="C6" s="9"/>
    </row>
    <row r="7" customFormat="false" ht="15" hidden="false" customHeight="true" outlineLevel="0" collapsed="false">
      <c r="A7" s="4" t="s">
        <v>80</v>
      </c>
      <c r="B7" s="8" t="n">
        <f aca="false">Parameters!B5*Parameters!B19</f>
        <v>6000</v>
      </c>
      <c r="C7" s="9"/>
    </row>
    <row r="8" customFormat="false" ht="15" hidden="false" customHeight="true" outlineLevel="0" collapsed="false">
      <c r="A8" s="4" t="s">
        <v>81</v>
      </c>
      <c r="B8" s="8" t="n">
        <f aca="false">Parameters!B5*(1-Parameters!B19)</f>
        <v>4000</v>
      </c>
      <c r="C8" s="9"/>
    </row>
    <row r="9" customFormat="false" ht="15" hidden="false" customHeight="true" outlineLevel="0" collapsed="false">
      <c r="A9" s="4" t="s">
        <v>82</v>
      </c>
      <c r="B9" s="8" t="n">
        <f aca="false">B7*Parameters!B20*Parameters!B6</f>
        <v>972</v>
      </c>
      <c r="C9" s="9"/>
    </row>
    <row r="10" customFormat="false" ht="15" hidden="false" customHeight="true" outlineLevel="0" collapsed="false">
      <c r="A10" s="4" t="s">
        <v>83</v>
      </c>
      <c r="B10" s="8" t="n">
        <f aca="false">B7*Parameters!B20*(1-Parameters!B6)</f>
        <v>108</v>
      </c>
      <c r="C10" s="9"/>
    </row>
    <row r="11" customFormat="false" ht="15" hidden="false" customHeight="true" outlineLevel="0" collapsed="false">
      <c r="A11" s="4" t="s">
        <v>84</v>
      </c>
      <c r="B11" s="8" t="n">
        <f aca="false">B7*(1-Parameters!B20)*(1-Parameters!B7)</f>
        <v>738</v>
      </c>
      <c r="C11" s="9"/>
    </row>
    <row r="12" customFormat="false" ht="15" hidden="false" customHeight="true" outlineLevel="0" collapsed="false">
      <c r="A12" s="4" t="s">
        <v>85</v>
      </c>
      <c r="B12" s="8" t="n">
        <f aca="false">B7*(1-Parameters!B20)*Parameters!B7</f>
        <v>4182</v>
      </c>
      <c r="C12" s="9"/>
    </row>
    <row r="13" customFormat="false" ht="15" hidden="false" customHeight="true" outlineLevel="0" collapsed="false">
      <c r="A13" s="4" t="s">
        <v>86</v>
      </c>
      <c r="B13" s="8" t="n">
        <f aca="false">B8*Parameters!B21*Parameters!B22</f>
        <v>30</v>
      </c>
      <c r="C13" s="9"/>
    </row>
    <row r="14" customFormat="false" ht="15" hidden="false" customHeight="true" outlineLevel="0" collapsed="false">
      <c r="A14" s="4" t="s">
        <v>87</v>
      </c>
      <c r="B14" s="8" t="n">
        <f aca="false">B8*Parameters!B21*(1-Parameters!B22)</f>
        <v>90</v>
      </c>
      <c r="C14" s="9"/>
    </row>
    <row r="15" customFormat="false" ht="15" hidden="false" customHeight="true" outlineLevel="0" collapsed="false">
      <c r="B15" s="1" t="n">
        <f aca="false">B8*(1-Parameters!B21)</f>
        <v>3880</v>
      </c>
    </row>
    <row r="16" customFormat="false" ht="15" hidden="false" customHeight="false" outlineLevel="0" collapsed="false"/>
    <row r="17" customFormat="false" ht="15" hidden="false" customHeight="true" outlineLevel="0" collapsed="false">
      <c r="A17" s="7" t="s">
        <v>57</v>
      </c>
    </row>
    <row r="18" customFormat="false" ht="15" hidden="false" customHeight="true" outlineLevel="0" collapsed="false">
      <c r="A18" s="3" t="s">
        <v>58</v>
      </c>
      <c r="B18" s="3" t="s">
        <v>59</v>
      </c>
      <c r="C18" s="19"/>
      <c r="D18" s="19"/>
    </row>
    <row r="19" customFormat="false" ht="15" hidden="false" customHeight="true" outlineLevel="0" collapsed="false">
      <c r="A19" s="4" t="s">
        <v>88</v>
      </c>
      <c r="B19" s="12" t="n">
        <f aca="false">Parameters!B5*Parameters!B9</f>
        <v>500000</v>
      </c>
      <c r="C19" s="8"/>
      <c r="D19" s="12"/>
    </row>
    <row r="20" customFormat="false" ht="15" hidden="false" customHeight="true" outlineLevel="0" collapsed="false">
      <c r="A20" s="4" t="s">
        <v>89</v>
      </c>
      <c r="B20" s="12" t="n">
        <f aca="false">B7*Parameters!B8</f>
        <v>1500000</v>
      </c>
      <c r="C20" s="8"/>
      <c r="D20" s="12"/>
    </row>
    <row r="21" customFormat="false" ht="15" hidden="false" customHeight="true" outlineLevel="0" collapsed="false">
      <c r="A21" s="4" t="s">
        <v>90</v>
      </c>
      <c r="B21" s="12" t="n">
        <f aca="false">B9*Parameters!B10</f>
        <v>7776000</v>
      </c>
      <c r="C21" s="8"/>
      <c r="D21" s="12"/>
    </row>
    <row r="22" customFormat="false" ht="15" hidden="false" customHeight="true" outlineLevel="0" collapsed="false">
      <c r="A22" s="4" t="s">
        <v>91</v>
      </c>
      <c r="B22" s="12" t="n">
        <f aca="false">B9*Parameters!B11*Parameters!B14</f>
        <v>4374000</v>
      </c>
      <c r="C22" s="8"/>
      <c r="D22" s="12"/>
    </row>
    <row r="23" customFormat="false" ht="15" hidden="false" customHeight="true" outlineLevel="0" collapsed="false">
      <c r="A23" s="4" t="s">
        <v>92</v>
      </c>
      <c r="B23" s="12" t="n">
        <f aca="false">B9*(1-Parameters!B11)*Parameters!B15</f>
        <v>4374000</v>
      </c>
      <c r="C23" s="8"/>
      <c r="D23" s="12"/>
    </row>
    <row r="24" customFormat="false" ht="15" hidden="false" customHeight="true" outlineLevel="0" collapsed="false">
      <c r="A24" s="4" t="s">
        <v>93</v>
      </c>
      <c r="B24" s="12" t="n">
        <f aca="false">B10*Parameters!B12*Parameters!B14</f>
        <v>1701000</v>
      </c>
      <c r="C24" s="8"/>
      <c r="D24" s="12"/>
    </row>
    <row r="25" customFormat="false" ht="15" hidden="false" customHeight="true" outlineLevel="0" collapsed="false">
      <c r="A25" s="4" t="s">
        <v>94</v>
      </c>
      <c r="B25" s="12" t="n">
        <f aca="false">B10*(1-Parameters!B12)*Parameters!B15</f>
        <v>351000</v>
      </c>
      <c r="C25" s="8"/>
      <c r="D25" s="12"/>
    </row>
    <row r="26" customFormat="false" ht="15" hidden="false" customHeight="true" outlineLevel="0" collapsed="false">
      <c r="A26" s="4" t="s">
        <v>95</v>
      </c>
      <c r="B26" s="12" t="n">
        <f aca="false">(B11+B12)*Parameters!B13*Parameters!B14</f>
        <v>11070000</v>
      </c>
      <c r="C26" s="8"/>
      <c r="D26" s="12"/>
    </row>
    <row r="27" customFormat="false" ht="15" hidden="false" customHeight="true" outlineLevel="0" collapsed="false">
      <c r="A27" s="4" t="s">
        <v>96</v>
      </c>
      <c r="B27" s="12" t="n">
        <f aca="false">(B11+B12)*(1-Parameters!B13)*Parameters!B15</f>
        <v>23370000</v>
      </c>
      <c r="C27" s="8"/>
      <c r="D27" s="12"/>
    </row>
    <row r="28" customFormat="false" ht="15" hidden="false" customHeight="true" outlineLevel="0" collapsed="false">
      <c r="A28" s="4" t="s">
        <v>97</v>
      </c>
      <c r="B28" s="12" t="n">
        <f aca="false">B13*Parameters!B10</f>
        <v>240000</v>
      </c>
      <c r="C28" s="8"/>
      <c r="D28" s="12"/>
    </row>
    <row r="29" customFormat="false" ht="15" hidden="false" customHeight="true" outlineLevel="0" collapsed="false">
      <c r="A29" s="4" t="s">
        <v>98</v>
      </c>
      <c r="B29" s="12" t="n">
        <f aca="false">B13*Parameters!B11*Parameters!B14</f>
        <v>135000</v>
      </c>
      <c r="C29" s="8"/>
      <c r="D29" s="12"/>
    </row>
    <row r="30" customFormat="false" ht="15" hidden="false" customHeight="true" outlineLevel="0" collapsed="false">
      <c r="A30" s="4" t="s">
        <v>99</v>
      </c>
      <c r="B30" s="12" t="n">
        <f aca="false">B13*(1-Parameters!B11)*Parameters!B15</f>
        <v>135000</v>
      </c>
      <c r="C30" s="8"/>
      <c r="D30" s="12"/>
    </row>
    <row r="31" customFormat="false" ht="15" hidden="false" customHeight="true" outlineLevel="0" collapsed="false">
      <c r="A31" s="4" t="s">
        <v>100</v>
      </c>
      <c r="B31" s="12" t="n">
        <f aca="false">B14*Parameters!B12*Parameters!B14</f>
        <v>1417500</v>
      </c>
      <c r="C31" s="8"/>
      <c r="D31" s="12"/>
    </row>
    <row r="32" customFormat="false" ht="15" hidden="false" customHeight="true" outlineLevel="0" collapsed="false">
      <c r="A32" s="4" t="s">
        <v>101</v>
      </c>
      <c r="B32" s="12" t="n">
        <f aca="false">B14*(1-Parameters!B12)*Parameters!B15</f>
        <v>292500</v>
      </c>
      <c r="C32" s="8"/>
      <c r="D32" s="12"/>
    </row>
    <row r="33" customFormat="false" ht="15" hidden="false" customHeight="true" outlineLevel="0" collapsed="false">
      <c r="A33" s="4" t="s">
        <v>102</v>
      </c>
      <c r="B33" s="12" t="n">
        <f aca="false">B15*Parameters!B13*Parameters!B14</f>
        <v>8730000</v>
      </c>
      <c r="C33" s="8"/>
      <c r="D33" s="12"/>
    </row>
    <row r="34" customFormat="false" ht="15" hidden="false" customHeight="true" outlineLevel="0" collapsed="false">
      <c r="A34" s="4" t="s">
        <v>103</v>
      </c>
      <c r="B34" s="12" t="n">
        <f aca="false">B15*(1-Parameters!B13)*Parameters!B15</f>
        <v>18430000</v>
      </c>
      <c r="C34" s="8"/>
      <c r="D34" s="12"/>
    </row>
    <row r="35" customFormat="false" ht="15" hidden="false" customHeight="true" outlineLevel="0" collapsed="false">
      <c r="A35" s="13" t="s">
        <v>70</v>
      </c>
      <c r="B35" s="20" t="n">
        <f aca="false">SUM(B19:B34)</f>
        <v>84396000</v>
      </c>
      <c r="C35" s="4"/>
      <c r="D35" s="14"/>
    </row>
    <row r="36" customFormat="false" ht="15" hidden="false" customHeight="true" outlineLevel="0" collapsed="false">
      <c r="A36" s="4"/>
      <c r="B36" s="12"/>
    </row>
    <row r="37" customFormat="false" ht="15" hidden="false" customHeight="true" outlineLevel="0" collapsed="false">
      <c r="A37" s="13"/>
      <c r="B37" s="14"/>
    </row>
    <row r="38" customFormat="false" ht="15" hidden="false" customHeight="true" outlineLevel="0" collapsed="false">
      <c r="A38" s="7" t="s">
        <v>71</v>
      </c>
    </row>
    <row r="39" customFormat="false" ht="15" hidden="false" customHeight="true" outlineLevel="0" collapsed="false">
      <c r="A39" s="19" t="s">
        <v>72</v>
      </c>
      <c r="B39" s="19" t="s">
        <v>73</v>
      </c>
      <c r="C39" s="19"/>
      <c r="D39" s="19"/>
    </row>
    <row r="40" customFormat="false" ht="15" hidden="false" customHeight="true" outlineLevel="0" collapsed="false">
      <c r="A40" s="21" t="s">
        <v>104</v>
      </c>
      <c r="B40" s="15" t="n">
        <f aca="false">B9*Parameters!B18</f>
        <v>797.04</v>
      </c>
      <c r="C40" s="15"/>
      <c r="D40" s="15"/>
    </row>
    <row r="41" customFormat="false" ht="15" hidden="false" customHeight="true" outlineLevel="0" collapsed="false">
      <c r="A41" s="3" t="s">
        <v>105</v>
      </c>
      <c r="B41" s="22" t="n">
        <f aca="false">B10*Parameters!B16</f>
        <v>70.2</v>
      </c>
      <c r="C41" s="15"/>
      <c r="D41" s="15"/>
    </row>
    <row r="42" customFormat="false" ht="15" hidden="false" customHeight="true" outlineLevel="0" collapsed="false">
      <c r="A42" s="4" t="s">
        <v>106</v>
      </c>
      <c r="B42" s="15" t="n">
        <f aca="false">(B11+B12)*Parameters!B17</f>
        <v>4428</v>
      </c>
      <c r="C42" s="15"/>
      <c r="D42" s="15"/>
    </row>
    <row r="43" customFormat="false" ht="15" hidden="false" customHeight="true" outlineLevel="0" collapsed="false">
      <c r="A43" s="4" t="s">
        <v>107</v>
      </c>
      <c r="B43" s="15" t="n">
        <f aca="false">B13*Parameters!B18</f>
        <v>24.6</v>
      </c>
      <c r="C43" s="15"/>
      <c r="D43" s="15"/>
    </row>
    <row r="44" customFormat="false" ht="15" hidden="false" customHeight="true" outlineLevel="0" collapsed="false">
      <c r="A44" s="4" t="s">
        <v>108</v>
      </c>
      <c r="B44" s="15" t="n">
        <f aca="false">B14*Parameters!B16</f>
        <v>58.5</v>
      </c>
      <c r="C44" s="15"/>
      <c r="D44" s="15"/>
    </row>
    <row r="45" customFormat="false" ht="15" hidden="false" customHeight="true" outlineLevel="0" collapsed="false">
      <c r="A45" s="4" t="s">
        <v>109</v>
      </c>
      <c r="B45" s="15" t="n">
        <f aca="false">B15*Parameters!B17</f>
        <v>3492</v>
      </c>
      <c r="C45" s="15"/>
      <c r="D45" s="15"/>
    </row>
    <row r="46" customFormat="false" ht="15" hidden="false" customHeight="true" outlineLevel="0" collapsed="false">
      <c r="A46" s="13" t="s">
        <v>77</v>
      </c>
      <c r="B46" s="16" t="n">
        <f aca="false">SUM(B40:B45)</f>
        <v>8870.34</v>
      </c>
      <c r="C46" s="4"/>
      <c r="D46" s="18"/>
    </row>
    <row r="47" customFormat="false" ht="15" hidden="false" customHeight="true" outlineLevel="0" collapsed="false">
      <c r="A47" s="4"/>
      <c r="B47" s="15"/>
    </row>
    <row r="48" customFormat="false" ht="15" hidden="false" customHeight="true" outlineLevel="0" collapsed="false">
      <c r="A48" s="13"/>
      <c r="B48" s="18"/>
    </row>
    <row r="49" customFormat="false" ht="15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2" min="2" style="1" width="18"/>
  </cols>
  <sheetData>
    <row r="1" customFormat="false" ht="15" hidden="false" customHeight="true" outlineLevel="0" collapsed="false">
      <c r="A1" s="2" t="s">
        <v>110</v>
      </c>
    </row>
    <row r="2" customFormat="false" ht="15" hidden="false" customHeight="false" outlineLevel="0" collapsed="false"/>
    <row r="3" customFormat="false" ht="15" hidden="false" customHeight="true" outlineLevel="0" collapsed="false">
      <c r="A3" s="7" t="s">
        <v>45</v>
      </c>
    </row>
    <row r="4" customFormat="false" ht="15" hidden="false" customHeight="true" outlineLevel="0" collapsed="false">
      <c r="A4" s="3" t="s">
        <v>46</v>
      </c>
      <c r="B4" s="3" t="s">
        <v>47</v>
      </c>
    </row>
    <row r="5" customFormat="false" ht="15" hidden="false" customHeight="true" outlineLevel="0" collapsed="false">
      <c r="A5" s="4" t="s">
        <v>50</v>
      </c>
      <c r="B5" s="8" t="n">
        <f aca="false">Parameters!B5*Parameters!B4</f>
        <v>1200</v>
      </c>
    </row>
    <row r="6" customFormat="false" ht="15" hidden="false" customHeight="true" outlineLevel="0" collapsed="false">
      <c r="A6" s="4" t="s">
        <v>111</v>
      </c>
      <c r="B6" s="8" t="n">
        <f aca="false">Parameters!B5*(1-Parameters!B4)</f>
        <v>8800</v>
      </c>
    </row>
    <row r="7" customFormat="false" ht="15" hidden="false" customHeight="true" outlineLevel="0" collapsed="false">
      <c r="A7" s="4" t="s">
        <v>112</v>
      </c>
      <c r="B7" s="8" t="n">
        <f aca="false">Parameters!B5*(1-Parameters!B4)</f>
        <v>8800</v>
      </c>
    </row>
    <row r="8" customFormat="false" ht="15" hidden="false" customHeight="false" outlineLevel="0" collapsed="false"/>
    <row r="9" customFormat="false" ht="15" hidden="false" customHeight="false" outlineLevel="0" collapsed="false"/>
    <row r="10" customFormat="false" ht="15" hidden="false" customHeight="true" outlineLevel="0" collapsed="false">
      <c r="A10" s="7" t="s">
        <v>57</v>
      </c>
    </row>
    <row r="11" customFormat="false" ht="15" hidden="false" customHeight="true" outlineLevel="0" collapsed="false">
      <c r="A11" s="3" t="s">
        <v>58</v>
      </c>
      <c r="B11" s="3" t="s">
        <v>59</v>
      </c>
      <c r="C11" s="19"/>
      <c r="D11" s="19"/>
      <c r="E11" s="19"/>
    </row>
    <row r="12" customFormat="false" ht="15" hidden="false" customHeight="true" outlineLevel="0" collapsed="false">
      <c r="A12" s="4" t="s">
        <v>113</v>
      </c>
      <c r="B12" s="12" t="n">
        <f aca="false">B5*Parameters!B12*Parameters!B14</f>
        <v>18900000</v>
      </c>
      <c r="C12" s="12"/>
      <c r="D12" s="8"/>
      <c r="E12" s="12"/>
    </row>
    <row r="13" customFormat="false" ht="15" hidden="false" customHeight="true" outlineLevel="0" collapsed="false">
      <c r="A13" s="4" t="s">
        <v>114</v>
      </c>
      <c r="B13" s="12" t="n">
        <f aca="false">B5*(1-Parameters!B12)*Parameters!B15</f>
        <v>3900000</v>
      </c>
      <c r="C13" s="12"/>
      <c r="D13" s="8"/>
      <c r="E13" s="12"/>
    </row>
    <row r="14" customFormat="false" ht="15" hidden="false" customHeight="true" outlineLevel="0" collapsed="false">
      <c r="A14" s="4" t="s">
        <v>115</v>
      </c>
      <c r="B14" s="12" t="n">
        <f aca="false">B6*Parameters!B13*Parameters!B14</f>
        <v>19800000</v>
      </c>
      <c r="C14" s="12"/>
      <c r="D14" s="8"/>
      <c r="E14" s="12"/>
    </row>
    <row r="15" customFormat="false" ht="15" hidden="false" customHeight="true" outlineLevel="0" collapsed="false">
      <c r="A15" s="4" t="s">
        <v>116</v>
      </c>
      <c r="B15" s="12" t="n">
        <f aca="false">B6*(1-Parameters!B13)*Parameters!B15</f>
        <v>41800000</v>
      </c>
      <c r="C15" s="12"/>
      <c r="D15" s="8"/>
      <c r="E15" s="12"/>
    </row>
    <row r="16" customFormat="false" ht="15" hidden="false" customHeight="true" outlineLevel="0" collapsed="false">
      <c r="A16" s="13" t="s">
        <v>70</v>
      </c>
      <c r="B16" s="14" t="n">
        <f aca="false">SUM(B12:B15)</f>
        <v>84400000</v>
      </c>
      <c r="C16" s="4"/>
      <c r="D16" s="4"/>
      <c r="E16" s="14"/>
    </row>
    <row r="17" customFormat="false" ht="15" hidden="false" customHeight="false" outlineLevel="0" collapsed="false"/>
    <row r="18" customFormat="false" ht="15" hidden="false" customHeight="false" outlineLevel="0" collapsed="false"/>
    <row r="19" customFormat="false" ht="15" hidden="false" customHeight="true" outlineLevel="0" collapsed="false">
      <c r="A19" s="7" t="s">
        <v>71</v>
      </c>
    </row>
    <row r="20" customFormat="false" ht="15" hidden="false" customHeight="true" outlineLevel="0" collapsed="false">
      <c r="A20" s="3" t="s">
        <v>72</v>
      </c>
      <c r="B20" s="3" t="s">
        <v>73</v>
      </c>
      <c r="C20" s="19"/>
      <c r="D20" s="19"/>
      <c r="E20" s="19"/>
    </row>
    <row r="21" customFormat="false" ht="15" hidden="false" customHeight="true" outlineLevel="0" collapsed="false">
      <c r="A21" s="4" t="s">
        <v>117</v>
      </c>
      <c r="B21" s="15" t="n">
        <f aca="false">B5*Parameters!B16</f>
        <v>780</v>
      </c>
      <c r="C21" s="15"/>
      <c r="D21" s="15"/>
      <c r="E21" s="15"/>
    </row>
    <row r="22" customFormat="false" ht="15" hidden="false" customHeight="true" outlineLevel="0" collapsed="false">
      <c r="A22" s="4" t="s">
        <v>112</v>
      </c>
      <c r="B22" s="15" t="n">
        <f aca="false">B6*Parameters!B17</f>
        <v>7920</v>
      </c>
      <c r="C22" s="15"/>
      <c r="D22" s="15"/>
      <c r="E22" s="15"/>
    </row>
    <row r="23" customFormat="false" ht="15" hidden="false" customHeight="true" outlineLevel="0" collapsed="false">
      <c r="A23" s="13" t="s">
        <v>77</v>
      </c>
      <c r="B23" s="18" t="n">
        <f aca="false">SUM(B21:B22)</f>
        <v>8700</v>
      </c>
      <c r="C23" s="4"/>
      <c r="D23" s="4"/>
      <c r="E23" s="18"/>
    </row>
    <row r="24" customFormat="false" ht="15" hidden="false" customHeight="false" outlineLevel="0" collapsed="false"/>
    <row r="25" customFormat="false" ht="15" hidden="false" customHeight="false" outlineLevel="0" collapsed="false"/>
    <row r="26" customFormat="false" ht="15" hidden="false" customHeight="false" outlineLevel="0" collapsed="false"/>
    <row r="27" customFormat="false" ht="15" hidden="false" customHeight="false" outlineLevel="0" collapsed="false"/>
    <row r="28" customFormat="false" ht="15" hidden="false" customHeight="false" outlineLevel="0" collapsed="false"/>
    <row r="29" customFormat="false" ht="15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22"/>
  </cols>
  <sheetData>
    <row r="1" customFormat="false" ht="15" hidden="false" customHeight="true" outlineLevel="0" collapsed="false">
      <c r="A1" s="2" t="s">
        <v>118</v>
      </c>
    </row>
    <row r="3" customFormat="false" ht="15" hidden="false" customHeight="true" outlineLevel="0" collapsed="false">
      <c r="A3" s="7" t="s">
        <v>119</v>
      </c>
    </row>
    <row r="4" customFormat="false" ht="15" hidden="false" customHeight="true" outlineLevel="0" collapsed="false">
      <c r="A4" s="3" t="s">
        <v>120</v>
      </c>
      <c r="B4" s="3" t="s">
        <v>121</v>
      </c>
      <c r="C4" s="3" t="s">
        <v>122</v>
      </c>
      <c r="D4" s="3" t="s">
        <v>123</v>
      </c>
    </row>
    <row r="5" customFormat="false" ht="15" hidden="false" customHeight="true" outlineLevel="0" collapsed="false">
      <c r="A5" s="4" t="s">
        <v>124</v>
      </c>
      <c r="B5" s="12" t="n">
        <f aca="false">'Universal Screening'!B26</f>
        <v>84740000</v>
      </c>
      <c r="C5" s="15" t="n">
        <f aca="false">'Universal Screening'!B34</f>
        <v>8883.6</v>
      </c>
      <c r="D5" s="12" t="n">
        <f aca="false">C5/B5</f>
        <v>0.000104833608685391</v>
      </c>
    </row>
    <row r="6" customFormat="false" ht="15" hidden="false" customHeight="true" outlineLevel="0" collapsed="false">
      <c r="A6" s="4" t="s">
        <v>125</v>
      </c>
      <c r="B6" s="12" t="n">
        <f aca="false">'Risk-Based Screening'!B35</f>
        <v>84396000</v>
      </c>
      <c r="C6" s="15" t="n">
        <f aca="false">'Risk-Based Screening'!B46</f>
        <v>8870.34</v>
      </c>
      <c r="D6" s="12" t="n">
        <f aca="false">C6/B6</f>
        <v>0.000105103796388454</v>
      </c>
    </row>
    <row r="7" customFormat="false" ht="15" hidden="false" customHeight="true" outlineLevel="0" collapsed="false">
      <c r="A7" s="4" t="s">
        <v>126</v>
      </c>
      <c r="B7" s="12" t="n">
        <f aca="false">'No Screening'!B16</f>
        <v>84400000</v>
      </c>
      <c r="C7" s="15" t="n">
        <f aca="false">'No Screening'!B23</f>
        <v>8700</v>
      </c>
      <c r="D7" s="12" t="n">
        <f aca="false">C7/B7</f>
        <v>0.000103080568720379</v>
      </c>
    </row>
    <row r="10" customFormat="false" ht="15" hidden="false" customHeight="true" outlineLevel="0" collapsed="false">
      <c r="A10" s="7" t="s">
        <v>127</v>
      </c>
    </row>
    <row r="11" customFormat="false" ht="39" hidden="false" customHeight="true" outlineLevel="0" collapsed="false">
      <c r="A11" s="3" t="s">
        <v>128</v>
      </c>
      <c r="B11" s="3" t="s">
        <v>129</v>
      </c>
      <c r="C11" s="3" t="s">
        <v>130</v>
      </c>
      <c r="D11" s="3" t="s">
        <v>131</v>
      </c>
      <c r="E11" s="3" t="s">
        <v>132</v>
      </c>
    </row>
    <row r="12" customFormat="false" ht="15" hidden="false" customHeight="true" outlineLevel="0" collapsed="false">
      <c r="A12" s="4" t="s">
        <v>133</v>
      </c>
      <c r="B12" s="12" t="n">
        <f aca="false">B6-B7</f>
        <v>-4000</v>
      </c>
      <c r="C12" s="15" t="n">
        <f aca="false">C6-C7</f>
        <v>170.34</v>
      </c>
      <c r="D12" s="12" t="n">
        <f aca="false">IF(C12=0,0,B12/C12)</f>
        <v>-23.4824468709639</v>
      </c>
      <c r="E12" s="4" t="str">
        <f aca="false">IF(D12&lt;=Parameters!B33,IF(C12&gt;=0,"Yes","No"),"No")</f>
        <v>Yes</v>
      </c>
    </row>
    <row r="13" customFormat="false" ht="15" hidden="false" customHeight="true" outlineLevel="0" collapsed="false">
      <c r="A13" s="4" t="s">
        <v>134</v>
      </c>
      <c r="B13" s="12" t="n">
        <f aca="false">B5-B7</f>
        <v>340000</v>
      </c>
      <c r="C13" s="15" t="n">
        <f aca="false">C5-C7</f>
        <v>183.6</v>
      </c>
      <c r="D13" s="12" t="n">
        <f aca="false">IF(C13=0,0,B13/C13)</f>
        <v>1851.85185185185</v>
      </c>
      <c r="E13" s="4" t="str">
        <f aca="false">IF(D13&lt;=Parameters!B33,IF(C13&gt;=0,"Yes","No"),"No")</f>
        <v>No</v>
      </c>
    </row>
    <row r="14" customFormat="false" ht="15" hidden="false" customHeight="true" outlineLevel="0" collapsed="false">
      <c r="A14" s="4" t="s">
        <v>135</v>
      </c>
      <c r="B14" s="12" t="n">
        <f aca="false">B5-B6</f>
        <v>344000</v>
      </c>
      <c r="C14" s="15" t="n">
        <f aca="false">C5-C6</f>
        <v>13.2600000000002</v>
      </c>
      <c r="D14" s="12" t="n">
        <f aca="false">IF(C14=0,0,B14/C14)</f>
        <v>25942.6847662138</v>
      </c>
      <c r="E14" s="4" t="str">
        <f aca="false">IF(D14&lt;=Parameters!B33,IF(C14&gt;=0,"Yes","No"),"No")</f>
        <v>No</v>
      </c>
    </row>
    <row r="17" customFormat="false" ht="15" hidden="false" customHeight="true" outlineLevel="0" collapsed="false">
      <c r="A17" s="7" t="s">
        <v>136</v>
      </c>
    </row>
    <row r="18" customFormat="false" ht="15" hidden="false" customHeight="true" outlineLevel="0" collapsed="false">
      <c r="A18" s="3" t="s">
        <v>120</v>
      </c>
      <c r="B18" s="3" t="s">
        <v>137</v>
      </c>
      <c r="C18" s="3" t="s">
        <v>49</v>
      </c>
    </row>
    <row r="19" customFormat="false" ht="15" hidden="false" customHeight="true" outlineLevel="0" collapsed="false">
      <c r="A19" s="4" t="s">
        <v>124</v>
      </c>
      <c r="B19" s="12" t="n">
        <f aca="false">(C5*Parameters!B33)-B5</f>
        <v>-84740000</v>
      </c>
      <c r="C19" s="23" t="s">
        <v>138</v>
      </c>
    </row>
    <row r="20" customFormat="false" ht="15" hidden="false" customHeight="true" outlineLevel="0" collapsed="false">
      <c r="A20" s="4" t="s">
        <v>125</v>
      </c>
      <c r="B20" s="12" t="n">
        <f aca="false">(C6*Parameters!B33)-B6</f>
        <v>-84396000</v>
      </c>
      <c r="C20" s="23" t="s">
        <v>138</v>
      </c>
    </row>
    <row r="21" customFormat="false" ht="15" hidden="false" customHeight="true" outlineLevel="0" collapsed="false">
      <c r="A21" s="4" t="s">
        <v>126</v>
      </c>
      <c r="B21" s="12" t="n">
        <f aca="false">(C7*Parameters!B33)-B7</f>
        <v>-84400000</v>
      </c>
      <c r="C21" s="23" t="s">
        <v>138</v>
      </c>
    </row>
    <row r="23" customFormat="false" ht="15" hidden="false" customHeight="true" outlineLevel="0" collapsed="false">
      <c r="A23" s="1" t="s">
        <v>139</v>
      </c>
      <c r="B23" s="1" t="str">
        <f aca="false">IF(B19&gt;IF(B20&gt;B21,B20,B21),"Universal Screening",IF(B20&gt;B21,"Risk-Based Screening","No Screening"))</f>
        <v>Risk-Based Screening</v>
      </c>
    </row>
    <row r="24" customFormat="false" ht="15" hidden="false" customHeight="true" outlineLevel="0" collapsed="false">
      <c r="A24" s="7" t="s">
        <v>140</v>
      </c>
    </row>
    <row r="25" customFormat="false" ht="15" hidden="false" customHeight="true" outlineLevel="0" collapsed="false">
      <c r="A25" s="4" t="s">
        <v>139</v>
      </c>
      <c r="B25" s="13" t="str">
        <f aca="false">IF(B8&gt;IF(B10&gt;B12,B10,B12),"Universal Screening",IF(B10&gt;B12,"Risk-Based Screening","No Screening"))</f>
        <v>Risk-Based Screening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2026-03-19T01:30:46Z</dcterms:created>
  <dc:creator>openpyxl</dc:creator>
  <dc:description/>
  <dc:language>en-US</dc:language>
  <cp:lastModifiedBy/>
  <dcterms:modified xsi:type="dcterms:W3CDTF">2026-03-19T01:34:38Z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